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5600" activeTab="0"/>
  </bookViews>
  <sheets>
    <sheet name="Page1" sheetId="1" r:id="rId1"/>
  </sheets>
  <definedNames>
    <definedName name="_xlnm._FilterDatabase" localSheetId="0" hidden="1">'Page1'!$A$5:$Q$46</definedName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<sst xmlns="http://schemas.openxmlformats.org/spreadsheetml/2006/main" count="175" uniqueCount="67">
  <si>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</si>
  <si>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</si>
  <si>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</si>
  <si>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</si>
  <si>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</si>
  <si>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</si>
  <si>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</si>
  <si>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</si>
  <si>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</si>
  <si>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</si>
  <si>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</si>
  <si>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</si>
  <si>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</si>
  <si>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</si>
  <si>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</si>
  <si>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</si>
  <si>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</si>
  <si>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</si>
  <si>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</si>
  <si>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</si>
  <si>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</si>
  <si>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</si>
  <si>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</si>
  <si>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</si>
  <si>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</si>
  <si>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</si>
  <si>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</si>
  <si>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</si>
  <si>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</si>
  <si>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</si>
  <si>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</si>
  <si>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</si>
  <si>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</si>
  <si>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</si>
  <si>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</si>
  <si>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</si>
  <si>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</si>
  <si>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</si>
  <si>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</si>
  <si>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</si>
  <si>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</si>
  <si>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</si>
  <si>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</si>
  <si>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</si>
  <si>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</si>
  <si>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</si>
  <si>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</si>
  <si>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</si>
  <si>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</si>
  <si>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</si>
  <si>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</si>
  <si>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</si>
  <si>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</si>
  <si>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</si>
  <si>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</si>
  <si>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</si>
  <si>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</si>
  <si>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</si>
  <si>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27.06.2022 06:43:25</t>
  </si>
  <si>
    <t>белая часть расчета</t>
  </si>
  <si>
    <t>желтая часть расчета</t>
  </si>
  <si>
    <t>для расчета баллов</t>
  </si>
  <si>
    <t>среднее по Курганской области</t>
  </si>
  <si>
    <t>минимальное по Курганской области</t>
  </si>
  <si>
    <t>максимальное по Курганской области</t>
  </si>
  <si>
    <t>Сведения об использовании показателей результативности деятельности медицинских организаций  по состоянию на 1 декабря 20221. *</t>
  </si>
  <si>
    <t>Субъект Российской Федерации:  Курганская область (ГБУ "Мишкинская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</si>
</sst>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13" borderId="0" xfId="0" applyFont="1" applyFill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172" fontId="43" fillId="33" borderId="11" xfId="0" applyNumberFormat="1" applyFont="1" applyFill="1" applyBorder="1" applyAlignment="1">
      <alignment horizontal="center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73" fontId="3" fillId="34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8" width="10.7109375" style="0" customWidth="1"/>
    <col min="9" max="9" width="12.8515625" style="0" customWidth="1"/>
    <col min="10" max="10" width="12.00390625" style="0" bestFit="1" customWidth="1"/>
    <col min="11" max="11" width="1.57421875" style="15" customWidth="1"/>
    <col min="13" max="13" width="14.421875" style="0" bestFit="1" customWidth="1"/>
    <col min="14" max="14" width="15.00390625" style="0" bestFit="1" customWidth="1"/>
    <col min="16" max="16" width="9.140625" style="25" customWidth="1"/>
  </cols>
  <sheetData>
    <row r="1" ht="9.75" customHeight="1">
      <c r="A1" s="8" t="s">
        <v>58</v>
      </c>
    </row>
    <row r="2" spans="1:11" ht="9.75" customHeight="1">
      <c r="A2" s="28" t="s">
        <v>65</v>
      </c>
      <c r="B2" s="28" t="s">
        <v>0</v>
      </c>
      <c r="C2" s="28" t="s">
        <v>0</v>
      </c>
      <c r="D2" s="28" t="s">
        <v>0</v>
      </c>
      <c r="E2" s="28" t="s">
        <v>0</v>
      </c>
      <c r="F2" s="28" t="s">
        <v>0</v>
      </c>
      <c r="G2" s="28" t="s">
        <v>0</v>
      </c>
      <c r="H2" s="28" t="s">
        <v>0</v>
      </c>
      <c r="I2" s="28" t="s">
        <v>0</v>
      </c>
      <c r="J2" s="28" t="s">
        <v>0</v>
      </c>
      <c r="K2" s="28" t="s">
        <v>0</v>
      </c>
    </row>
    <row r="3" spans="1:16" ht="9.75" customHeight="1">
      <c r="A3" s="28" t="s">
        <v>66</v>
      </c>
      <c r="B3" s="28" t="s">
        <v>1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  <c r="J3" s="28" t="s">
        <v>1</v>
      </c>
      <c r="K3" s="28" t="s">
        <v>1</v>
      </c>
      <c r="L3" s="30" t="s">
        <v>61</v>
      </c>
      <c r="M3" s="31"/>
      <c r="N3" s="31"/>
      <c r="O3" s="31"/>
      <c r="P3" s="31"/>
    </row>
    <row r="4" ht="9.75" customHeight="1"/>
    <row r="5" spans="1:16" ht="79.5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3" t="s">
        <v>18</v>
      </c>
      <c r="K5" s="16"/>
      <c r="L5" s="3" t="s">
        <v>62</v>
      </c>
      <c r="M5" s="3" t="s">
        <v>63</v>
      </c>
      <c r="N5" s="3" t="s">
        <v>64</v>
      </c>
      <c r="O5" s="3" t="s">
        <v>59</v>
      </c>
      <c r="P5" s="13" t="s">
        <v>60</v>
      </c>
    </row>
    <row r="6" spans="1:16" ht="8.25" customHeight="1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  <c r="L6" s="14"/>
      <c r="M6" s="14"/>
      <c r="N6" s="14"/>
      <c r="O6" s="3"/>
      <c r="P6" s="13"/>
    </row>
    <row r="7" spans="1:17" ht="11.25" customHeight="1">
      <c r="A7" s="4"/>
      <c r="B7" s="29" t="s">
        <v>51</v>
      </c>
      <c r="C7" s="29"/>
      <c r="D7" s="29"/>
      <c r="E7" s="29"/>
      <c r="F7" s="29"/>
      <c r="G7" s="29"/>
      <c r="H7" s="9">
        <f>SUM(H8:H23)</f>
        <v>9.5</v>
      </c>
      <c r="I7" s="4">
        <f>IF(V_пр_1_8&gt;0,1,0)</f>
        <v>1</v>
      </c>
      <c r="J7" s="4"/>
      <c r="L7" s="14"/>
      <c r="M7" s="14"/>
      <c r="N7" s="14"/>
      <c r="O7" s="9">
        <f>SUM(O8:O23)</f>
        <v>8.5</v>
      </c>
      <c r="P7" s="26">
        <f>SUM(P8:P23)</f>
        <v>3</v>
      </c>
      <c r="Q7" s="12">
        <f>IF(E7=0,0,MAX(O7,P7))</f>
        <v>0</v>
      </c>
    </row>
    <row r="8" spans="1:17" ht="33.75">
      <c r="A8" s="17" t="s">
        <v>20</v>
      </c>
      <c r="B8" s="2">
        <v>0.0016209</v>
      </c>
      <c r="C8" s="4" t="s">
        <v>50</v>
      </c>
      <c r="D8" s="4" t="s">
        <v>50</v>
      </c>
      <c r="E8" s="2">
        <v>0.0016829</v>
      </c>
      <c r="F8" s="2">
        <f>IF(AND(B8=0,E8&gt;0),100,(IF(B8=0,0,E8/B8*100-100)))</f>
        <v>3.8250354741193178</v>
      </c>
      <c r="G8" s="4" t="s">
        <v>50</v>
      </c>
      <c r="H8" s="10">
        <f>Q8</f>
        <v>0.5</v>
      </c>
      <c r="I8" s="4">
        <f>IF(OR(V_пр_2_2&gt;0,V_пр_2_5&gt;0,V_пр_2_6&gt;0),1,0)</f>
        <v>1</v>
      </c>
      <c r="J8" s="4"/>
      <c r="L8" s="14">
        <v>0.0009545</v>
      </c>
      <c r="M8" s="14">
        <v>0</v>
      </c>
      <c r="N8" s="14">
        <v>0.0066667</v>
      </c>
      <c r="O8" s="10">
        <f>IF(F8&lt;3,0,(IF(F8&gt;=7,1,0.5)))</f>
        <v>0.5</v>
      </c>
      <c r="P8" s="11">
        <f>IF(E8=N8,1,(IF(E8&gt;L8,0.5,0)))</f>
        <v>0.5</v>
      </c>
      <c r="Q8" s="12">
        <f aca="true" t="shared" si="0" ref="Q8:Q37">IF(E8=0,0,MAX(O8,P8))</f>
        <v>0.5</v>
      </c>
    </row>
    <row r="9" spans="1:17" ht="78.75">
      <c r="A9" s="17" t="s">
        <v>21</v>
      </c>
      <c r="B9" s="2">
        <v>0</v>
      </c>
      <c r="C9" s="4" t="s">
        <v>50</v>
      </c>
      <c r="D9" s="4" t="s">
        <v>50</v>
      </c>
      <c r="E9" s="2">
        <v>0</v>
      </c>
      <c r="F9" s="2">
        <f>IF(AND(B9=0,E9&gt;0),100,(IF(B9=0,0,E9/B9*100-100)))</f>
        <v>0</v>
      </c>
      <c r="G9" s="4" t="s">
        <v>50</v>
      </c>
      <c r="H9" s="10">
        <f aca="true" t="shared" si="1" ref="H9:H37">Q9</f>
        <v>0</v>
      </c>
      <c r="I9" s="4">
        <f>IF(OR(V_пр_3_2&gt;0,V_пр_3_5&gt;0,V_пр_3_6&gt;0),1,0)</f>
        <v>0</v>
      </c>
      <c r="J9" s="4"/>
      <c r="L9" s="14">
        <v>7.25E-05</v>
      </c>
      <c r="M9" s="14">
        <v>0</v>
      </c>
      <c r="N9" s="14">
        <v>0.0090476</v>
      </c>
      <c r="O9" s="10">
        <f>IF(F9&lt;5,0,(IF(F9&gt;=10,2,1)))</f>
        <v>0</v>
      </c>
      <c r="P9" s="11">
        <f>IF(E9=N9,2,(IF(E9&gt;L9,1,0)))</f>
        <v>0</v>
      </c>
      <c r="Q9" s="12">
        <f t="shared" si="0"/>
        <v>0</v>
      </c>
    </row>
    <row r="10" spans="1:17" ht="78.75">
      <c r="A10" s="17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0">
        <f t="shared" si="1"/>
        <v>0</v>
      </c>
      <c r="I10" s="4">
        <f>IF(OR(V_пр_4_2&gt;0,V_пр_4_5&gt;0,V_пр_4_6&gt;0),1,0)</f>
        <v>0</v>
      </c>
      <c r="J10" s="4"/>
      <c r="L10" s="14">
        <v>0.0007407</v>
      </c>
      <c r="M10" s="14">
        <v>0</v>
      </c>
      <c r="N10" s="14">
        <v>0.0025</v>
      </c>
      <c r="O10" s="10">
        <f>IF(F10&lt;5,0,(IF(F10&gt;=10,1,0.5)))</f>
        <v>0</v>
      </c>
      <c r="P10" s="11">
        <f>IF(E10=N10,1,(IF(E10&gt;L10,0.5,0)))</f>
        <v>0</v>
      </c>
      <c r="Q10" s="12">
        <f t="shared" si="0"/>
        <v>0</v>
      </c>
    </row>
    <row r="11" spans="1:17" ht="78.75">
      <c r="A11" s="17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0">
        <f t="shared" si="1"/>
        <v>0</v>
      </c>
      <c r="I11" s="4">
        <f>IF(OR(V_пр_5_2&gt;0,V_пр_5_5&gt;0,V_пр_5_6&gt;0),1,0)</f>
        <v>0</v>
      </c>
      <c r="J11" s="4"/>
      <c r="L11" s="14">
        <v>0.002</v>
      </c>
      <c r="M11" s="14">
        <v>0</v>
      </c>
      <c r="N11" s="14">
        <v>0.0034783</v>
      </c>
      <c r="O11" s="10">
        <f>IF(F11&lt;5,0,(IF(F11&gt;=10,1,0.5)))</f>
        <v>0</v>
      </c>
      <c r="P11" s="11">
        <f>IF(E11=N11,1,(IF(E11&gt;L11,0.5,0)))</f>
        <v>0</v>
      </c>
      <c r="Q11" s="12">
        <f t="shared" si="0"/>
        <v>0</v>
      </c>
    </row>
    <row r="12" spans="1:17" ht="67.5">
      <c r="A12" s="17" t="s">
        <v>24</v>
      </c>
      <c r="B12" s="2">
        <v>0.001875</v>
      </c>
      <c r="C12" s="4" t="s">
        <v>50</v>
      </c>
      <c r="D12" s="4" t="s">
        <v>50</v>
      </c>
      <c r="E12" s="2">
        <v>0.0007317</v>
      </c>
      <c r="F12" s="2">
        <f>IF(AND(B12=0,E12&gt;0),100,(IF(B12=0,0,E12/B12*100-100)))</f>
        <v>-60.976</v>
      </c>
      <c r="G12" s="4" t="s">
        <v>50</v>
      </c>
      <c r="H12" s="10">
        <f t="shared" si="1"/>
        <v>0.5</v>
      </c>
      <c r="I12" s="4">
        <f>IF(OR(V_пр_6_2&gt;0,V_пр_6_5&gt;0,V_пр_6_6&gt;0),1,0)</f>
        <v>1</v>
      </c>
      <c r="J12" s="4"/>
      <c r="L12" s="14">
        <v>0.0003448</v>
      </c>
      <c r="M12" s="14">
        <v>0</v>
      </c>
      <c r="N12" s="14">
        <v>0.0031169</v>
      </c>
      <c r="O12" s="10">
        <f>IF(F12&lt;5,0,(IF(F12&gt;=10,1,0.5)))</f>
        <v>0</v>
      </c>
      <c r="P12" s="11">
        <f>IF(E12=N12,1,(IF(E12&gt;L12,0.5,0)))</f>
        <v>0.5</v>
      </c>
      <c r="Q12" s="12">
        <f t="shared" si="0"/>
        <v>0.5</v>
      </c>
    </row>
    <row r="13" spans="1:17" ht="33.75">
      <c r="A13" s="17" t="s">
        <v>25</v>
      </c>
      <c r="B13" s="4">
        <v>0.758</v>
      </c>
      <c r="C13" s="2">
        <v>0.95</v>
      </c>
      <c r="D13" s="4" t="s">
        <v>50</v>
      </c>
      <c r="E13" s="2">
        <v>0.825</v>
      </c>
      <c r="F13" s="4" t="s">
        <v>50</v>
      </c>
      <c r="G13" s="2">
        <f>IF(C13=0,0,E13/C13*100)</f>
        <v>86.8421052631579</v>
      </c>
      <c r="H13" s="10">
        <f t="shared" si="1"/>
        <v>0</v>
      </c>
      <c r="I13" s="4">
        <f>IF(OR(V_пр_7_3&gt;0,V_пр_7_5&gt;0,V_пр_7_7&gt;0),1,0)</f>
        <v>1</v>
      </c>
      <c r="J13" s="4"/>
      <c r="L13" s="14">
        <v>0.936</v>
      </c>
      <c r="M13" s="14">
        <v>0.752</v>
      </c>
      <c r="N13" s="14">
        <v>1</v>
      </c>
      <c r="O13" s="10">
        <f>IF(G13&gt;=100,2,0)</f>
        <v>0</v>
      </c>
      <c r="P13" s="11">
        <f>IF(E13&gt;L13,1,0)</f>
        <v>0</v>
      </c>
      <c r="Q13" s="12">
        <f t="shared" si="0"/>
        <v>0</v>
      </c>
    </row>
    <row r="14" spans="1:17" ht="78.75">
      <c r="A14" s="17" t="s">
        <v>26</v>
      </c>
      <c r="B14" s="2">
        <v>4.39E-05</v>
      </c>
      <c r="C14" s="4" t="s">
        <v>50</v>
      </c>
      <c r="D14" s="4" t="s">
        <v>50</v>
      </c>
      <c r="E14" s="2">
        <v>0.0002264</v>
      </c>
      <c r="F14" s="2">
        <f>IF(AND(B14=0,E14&gt;0),100,(IF(B14=0,0,E14/B14*100-100)))</f>
        <v>415.71753986332567</v>
      </c>
      <c r="G14" s="4" t="s">
        <v>50</v>
      </c>
      <c r="H14" s="10">
        <f t="shared" si="1"/>
        <v>2</v>
      </c>
      <c r="I14" s="4">
        <f>IF(OR(V_пр_8_2&gt;0,V_пр_8_5&gt;0,V_пр_8_6&gt;0),1,0)</f>
        <v>1</v>
      </c>
      <c r="J14" s="4"/>
      <c r="L14" s="14">
        <v>0.0014413</v>
      </c>
      <c r="M14" s="14">
        <v>0</v>
      </c>
      <c r="N14" s="14">
        <v>0.0019697</v>
      </c>
      <c r="O14" s="10">
        <f>IF(F14&lt;3,0,(IF(F14&gt;=7,2,1)))</f>
        <v>2</v>
      </c>
      <c r="P14" s="11">
        <f>IF(E14=N14,2,(IF(E14&gt;L14,1,0)))</f>
        <v>0</v>
      </c>
      <c r="Q14" s="12">
        <f t="shared" si="0"/>
        <v>2</v>
      </c>
    </row>
    <row r="15" spans="1:17" ht="90">
      <c r="A15" s="17" t="s">
        <v>27</v>
      </c>
      <c r="B15" s="2">
        <v>0.0021342</v>
      </c>
      <c r="C15" s="4" t="s">
        <v>50</v>
      </c>
      <c r="D15" s="4" t="s">
        <v>50</v>
      </c>
      <c r="E15" s="2">
        <v>0.0018846</v>
      </c>
      <c r="F15" s="2">
        <f>IF(AND(B15=0,E15&gt;0),100,(IF(B15=0,0,E15/B15*100-100)))</f>
        <v>-11.695248805172909</v>
      </c>
      <c r="G15" s="4" t="s">
        <v>50</v>
      </c>
      <c r="H15" s="10">
        <f t="shared" si="1"/>
        <v>1</v>
      </c>
      <c r="I15" s="4">
        <f>IF(OR(V_пр_9_2&gt;0,V_пр_9_5&gt;0,V_пр_9_6&gt;0),1,0)</f>
        <v>1</v>
      </c>
      <c r="J15" s="4"/>
      <c r="L15" s="14">
        <v>1.75E-05</v>
      </c>
      <c r="M15" s="14">
        <v>0</v>
      </c>
      <c r="N15" s="14">
        <v>0.0054334</v>
      </c>
      <c r="O15" s="10">
        <f>IF(F15&gt;-5,0,(IF(F15&lt;=-10,1,0.5)))</f>
        <v>1</v>
      </c>
      <c r="P15" s="11">
        <f>IF(E15=M15,1,(IF(E15&lt;L15,0.5,0)))</f>
        <v>0</v>
      </c>
      <c r="Q15" s="12">
        <f t="shared" si="0"/>
        <v>1</v>
      </c>
    </row>
    <row r="16" spans="1:17" ht="67.5">
      <c r="A16" s="17" t="s">
        <v>28</v>
      </c>
      <c r="B16" s="4">
        <v>3.59E-05</v>
      </c>
      <c r="C16" s="2">
        <v>1</v>
      </c>
      <c r="D16" s="4" t="s">
        <v>50</v>
      </c>
      <c r="E16" s="2">
        <v>0.0002018</v>
      </c>
      <c r="F16" s="4" t="s">
        <v>50</v>
      </c>
      <c r="G16" s="2">
        <f>IF(C16=0,0,E16/C16*100)</f>
        <v>0.02018</v>
      </c>
      <c r="H16" s="10">
        <f t="shared" si="1"/>
        <v>0</v>
      </c>
      <c r="I16" s="4">
        <f>IF(OR(V_пр_10_3&gt;0,V_пр_10_5&gt;0,V_пр_10_7&gt;0),1,0)</f>
        <v>1</v>
      </c>
      <c r="J16" s="4"/>
      <c r="L16" s="14">
        <v>0.0011577</v>
      </c>
      <c r="M16" s="14">
        <v>0</v>
      </c>
      <c r="N16" s="14">
        <v>0.0015154</v>
      </c>
      <c r="O16" s="10">
        <f>IF(G16&gt;=100,1,0)</f>
        <v>0</v>
      </c>
      <c r="P16" s="11">
        <f>IF(E16&gt;L16,0.5,0)</f>
        <v>0</v>
      </c>
      <c r="Q16" s="12">
        <f t="shared" si="0"/>
        <v>0</v>
      </c>
    </row>
    <row r="17" spans="1:17" ht="78.75">
      <c r="A17" s="17" t="s">
        <v>29</v>
      </c>
      <c r="B17" s="4">
        <v>0.0001493</v>
      </c>
      <c r="C17" s="2">
        <v>1</v>
      </c>
      <c r="D17" s="4" t="s">
        <v>50</v>
      </c>
      <c r="E17" s="2">
        <v>0.0002994</v>
      </c>
      <c r="F17" s="4" t="s">
        <v>50</v>
      </c>
      <c r="G17" s="2">
        <f>IF(C17=0,0,E17/C17*100)</f>
        <v>0.02994</v>
      </c>
      <c r="H17" s="10">
        <f t="shared" si="1"/>
        <v>0</v>
      </c>
      <c r="I17" s="4">
        <f>IF(OR(V_пр_11_3&gt;0,V_пр_11_5&gt;0,V_пр_11_7&gt;0),1,0)</f>
        <v>1</v>
      </c>
      <c r="J17" s="4"/>
      <c r="L17" s="14">
        <v>0.001165</v>
      </c>
      <c r="M17" s="14">
        <v>0</v>
      </c>
      <c r="N17" s="14">
        <v>0.0012037</v>
      </c>
      <c r="O17" s="10">
        <f>IF(G17&gt;=100,1,0)</f>
        <v>0</v>
      </c>
      <c r="P17" s="11">
        <f>IF(E17&gt;L17,0.5,0)</f>
        <v>0</v>
      </c>
      <c r="Q17" s="12">
        <f t="shared" si="0"/>
        <v>0</v>
      </c>
    </row>
    <row r="18" spans="1:17" ht="56.25">
      <c r="A18" s="17" t="s">
        <v>30</v>
      </c>
      <c r="B18" s="4">
        <v>1.28E-05</v>
      </c>
      <c r="C18" s="2">
        <v>1</v>
      </c>
      <c r="D18" s="4" t="s">
        <v>50</v>
      </c>
      <c r="E18" s="2">
        <v>6.67E-05</v>
      </c>
      <c r="F18" s="4" t="s">
        <v>50</v>
      </c>
      <c r="G18" s="2">
        <f>IF(C18=0,0,E18/C18*100)</f>
        <v>0.00667</v>
      </c>
      <c r="H18" s="10">
        <f t="shared" si="1"/>
        <v>0</v>
      </c>
      <c r="I18" s="4">
        <f>IF(OR(V_пр_12_3&gt;0,V_пр_12_5&gt;0,V_пр_12_7&gt;0),1,0)</f>
        <v>1</v>
      </c>
      <c r="J18" s="4"/>
      <c r="L18" s="14">
        <v>0.000391</v>
      </c>
      <c r="M18" s="14">
        <v>0</v>
      </c>
      <c r="N18" s="14">
        <v>0.0019603</v>
      </c>
      <c r="O18" s="10">
        <f>IF(G18&gt;=100,2,0)</f>
        <v>0</v>
      </c>
      <c r="P18" s="11">
        <f>IF(E18&gt;L18,1,0)</f>
        <v>0</v>
      </c>
      <c r="Q18" s="12">
        <f t="shared" si="0"/>
        <v>0</v>
      </c>
    </row>
    <row r="19" spans="1:17" ht="78.75">
      <c r="A19" s="17" t="s">
        <v>31</v>
      </c>
      <c r="B19" s="2">
        <v>0.0067054</v>
      </c>
      <c r="C19" s="4" t="s">
        <v>50</v>
      </c>
      <c r="D19" s="4" t="s">
        <v>50</v>
      </c>
      <c r="E19" s="2">
        <v>0.0055577</v>
      </c>
      <c r="F19" s="2">
        <f>IF(AND(B19=0,E19&gt;0),100,(IF(B19=0,0,E19/B19*100-100)))</f>
        <v>-17.116055716288372</v>
      </c>
      <c r="G19" s="4" t="s">
        <v>50</v>
      </c>
      <c r="H19" s="10">
        <f t="shared" si="1"/>
        <v>1</v>
      </c>
      <c r="I19" s="4">
        <f>IF(OR(V_пр_13_2&gt;0,V_пр_13_5&gt;0,V_пр_13_6&gt;0),1,0)</f>
        <v>1</v>
      </c>
      <c r="J19" s="4"/>
      <c r="L19" s="14">
        <v>0.0040277</v>
      </c>
      <c r="M19" s="14">
        <v>0</v>
      </c>
      <c r="N19" s="14">
        <v>0.0058986</v>
      </c>
      <c r="O19" s="10">
        <f>IF(F19&gt;-5,0,(IF(F19&lt;=-10,1,0.5)))</f>
        <v>1</v>
      </c>
      <c r="P19" s="11">
        <f>IF(E19=M19,1,(IF(E19&lt;L19,0.5,0)))</f>
        <v>0</v>
      </c>
      <c r="Q19" s="12">
        <f t="shared" si="0"/>
        <v>1</v>
      </c>
    </row>
    <row r="20" spans="1:17" ht="90">
      <c r="A20" s="17" t="s">
        <v>32</v>
      </c>
      <c r="B20" s="2">
        <v>0</v>
      </c>
      <c r="C20" s="4" t="s">
        <v>50</v>
      </c>
      <c r="D20" s="4" t="s">
        <v>50</v>
      </c>
      <c r="E20" s="2">
        <v>0.001401</v>
      </c>
      <c r="F20" s="2">
        <f>IF(AND(B20=0,E20&gt;0),100,(IF(B20=0,0,E20/B20*100-100)))</f>
        <v>100</v>
      </c>
      <c r="G20" s="4" t="s">
        <v>50</v>
      </c>
      <c r="H20" s="10">
        <f t="shared" si="1"/>
        <v>0</v>
      </c>
      <c r="I20" s="4">
        <f>IF(OR(V_пр_14_2&gt;0,V_пр_14_5&gt;0,V_пр_14_6&gt;0),1,0)</f>
        <v>1</v>
      </c>
      <c r="J20" s="4"/>
      <c r="L20" s="14">
        <v>0.001106</v>
      </c>
      <c r="M20" s="14">
        <v>0</v>
      </c>
      <c r="N20" s="14">
        <v>0.0015385</v>
      </c>
      <c r="O20" s="10">
        <f>IF(F20&gt;-3,0,(IF(F20&lt;=-7,2,1)))</f>
        <v>0</v>
      </c>
      <c r="P20" s="11">
        <f>IF(E20=M20,2,(IF(E20&lt;L20,1,0)))</f>
        <v>0</v>
      </c>
      <c r="Q20" s="12">
        <f t="shared" si="0"/>
        <v>0</v>
      </c>
    </row>
    <row r="21" spans="1:17" ht="78.75">
      <c r="A21" s="17" t="s">
        <v>33</v>
      </c>
      <c r="B21" s="2">
        <v>5E-07</v>
      </c>
      <c r="C21" s="4" t="s">
        <v>50</v>
      </c>
      <c r="D21" s="4" t="s">
        <v>50</v>
      </c>
      <c r="E21" s="2">
        <v>3E-06</v>
      </c>
      <c r="F21" s="2">
        <f>IF(AND(B21=0,E21&gt;0),100,(IF(B21=0,0,E21/B21*100-100)))</f>
        <v>500</v>
      </c>
      <c r="G21" s="4" t="s">
        <v>50</v>
      </c>
      <c r="H21" s="10">
        <f t="shared" si="1"/>
        <v>0.5</v>
      </c>
      <c r="I21" s="4">
        <f>IF(OR(V_пр_15_2&gt;0,V_пр_15_5&gt;0,V_пр_15_6&gt;0),1,0)</f>
        <v>1</v>
      </c>
      <c r="J21" s="4"/>
      <c r="L21" s="14">
        <v>1.49E-05</v>
      </c>
      <c r="M21" s="14">
        <v>0</v>
      </c>
      <c r="N21" s="14">
        <v>0.0001225</v>
      </c>
      <c r="O21" s="10">
        <f>IF(F21&gt;-5,0,(IF(F21&lt;=-10,1,0.5)))</f>
        <v>0</v>
      </c>
      <c r="P21" s="11">
        <f>IF(E21=M21,1,(IF(E21&lt;L21,0.5,0)))</f>
        <v>0.5</v>
      </c>
      <c r="Q21" s="12">
        <f t="shared" si="0"/>
        <v>0.5</v>
      </c>
    </row>
    <row r="22" spans="1:17" ht="22.5">
      <c r="A22" s="17" t="s">
        <v>34</v>
      </c>
      <c r="B22" s="4" t="s">
        <v>50</v>
      </c>
      <c r="C22" s="4" t="s">
        <v>50</v>
      </c>
      <c r="D22" s="2">
        <v>0.13</v>
      </c>
      <c r="E22" s="2">
        <v>0.1268</v>
      </c>
      <c r="F22" s="2">
        <f>IF(AND(D22=0,E22&gt;0),100,(IF(D22=0,0,E22/D22*100-100)))</f>
        <v>-2.461538461538467</v>
      </c>
      <c r="G22" s="4" t="s">
        <v>50</v>
      </c>
      <c r="H22" s="10">
        <f t="shared" si="1"/>
        <v>1</v>
      </c>
      <c r="I22" s="4">
        <f>IF(OR(V_пр_16_4&gt;0,V_пр_16_5&gt;0,V_пр_16_6&gt;0),1,0)</f>
        <v>1</v>
      </c>
      <c r="J22" s="4"/>
      <c r="L22" s="14">
        <v>0.1058</v>
      </c>
      <c r="M22" s="14">
        <v>0.0182</v>
      </c>
      <c r="N22" s="14">
        <v>0.134</v>
      </c>
      <c r="O22" s="10">
        <f>IF(F22&gt;0,0,(IF(F22&gt;-2,0.5,(IF(AND(F22&lt;=-2,F22&gt;-5),1,IF(AND(F22&lt;=-5,F22&gt;-10),2,3))))))</f>
        <v>1</v>
      </c>
      <c r="P22" s="11">
        <f>IF(E22=M22,3,(IF(E22&lt;L22,0.5,0)))</f>
        <v>0</v>
      </c>
      <c r="Q22" s="12">
        <f t="shared" si="0"/>
        <v>1</v>
      </c>
    </row>
    <row r="23" spans="1:17" ht="45">
      <c r="A23" s="17" t="s">
        <v>35</v>
      </c>
      <c r="B23" s="4" t="s">
        <v>50</v>
      </c>
      <c r="C23" s="4" t="s">
        <v>50</v>
      </c>
      <c r="D23" s="2">
        <v>6.606666666666667E-05</v>
      </c>
      <c r="E23" s="2">
        <v>5.59E-05</v>
      </c>
      <c r="F23" s="2">
        <f>IF(AND(D23=0,E23&gt;0),100,(IF(D23=0,0,E23/D23*100-100)))</f>
        <v>-15.38849646821393</v>
      </c>
      <c r="G23" s="4" t="s">
        <v>50</v>
      </c>
      <c r="H23" s="10">
        <f t="shared" si="1"/>
        <v>3</v>
      </c>
      <c r="I23" s="4">
        <f>IF(OR(V_пр_17_4&gt;0,V_пр_17_5&gt;0,V_пр_17_6&gt;0),1,0)</f>
        <v>1</v>
      </c>
      <c r="J23" s="4"/>
      <c r="L23" s="14">
        <v>0.0002179</v>
      </c>
      <c r="M23" s="14">
        <v>0</v>
      </c>
      <c r="N23" s="14">
        <v>0.0003692</v>
      </c>
      <c r="O23" s="10">
        <f>IF(F23&gt;-3,0,(IF(F23&lt;=-7,3,1.5)))</f>
        <v>3</v>
      </c>
      <c r="P23" s="11">
        <f>IF(E23=M23,3,(IF(E23&lt;L23,1.5,0)))</f>
        <v>1.5</v>
      </c>
      <c r="Q23" s="12">
        <f t="shared" si="0"/>
        <v>3</v>
      </c>
    </row>
    <row r="24" spans="1:17" ht="15">
      <c r="A24" s="17"/>
      <c r="B24" s="29" t="s">
        <v>52</v>
      </c>
      <c r="C24" s="29"/>
      <c r="D24" s="29"/>
      <c r="E24" s="29"/>
      <c r="F24" s="29"/>
      <c r="G24" s="29"/>
      <c r="H24" s="10">
        <f>SUM(H25:H31)</f>
        <v>5</v>
      </c>
      <c r="I24" s="4">
        <f>IF(OR(V_пр_2_2&gt;0,V_пр_2_5&gt;0,V_пр_2_6&gt;0),1,0)</f>
        <v>1</v>
      </c>
      <c r="J24" s="4"/>
      <c r="L24" s="14"/>
      <c r="M24" s="14"/>
      <c r="N24" s="14"/>
      <c r="O24" s="10">
        <f>SUM(O25:O31)</f>
        <v>5</v>
      </c>
      <c r="P24" s="11">
        <f>SUM(P25:P31)</f>
        <v>3</v>
      </c>
      <c r="Q24" s="12">
        <f t="shared" si="0"/>
        <v>0</v>
      </c>
    </row>
    <row r="25" spans="1:17" s="24" customFormat="1" ht="22.5">
      <c r="A25" s="18" t="s">
        <v>36</v>
      </c>
      <c r="B25" s="19">
        <v>0.63</v>
      </c>
      <c r="C25" s="20">
        <v>0.95</v>
      </c>
      <c r="D25" s="19" t="s">
        <v>50</v>
      </c>
      <c r="E25" s="20">
        <v>0.67</v>
      </c>
      <c r="F25" s="19" t="s">
        <v>50</v>
      </c>
      <c r="G25" s="20">
        <f aca="true" t="shared" si="2" ref="G25:G30">IF(C25=0,0,E25/C25*100)</f>
        <v>70.5263157894737</v>
      </c>
      <c r="H25" s="10">
        <f t="shared" si="1"/>
        <v>0</v>
      </c>
      <c r="I25" s="19">
        <f>IF(OR(V_пр_19_3&gt;0,V_пр_19_5&gt;0,V_пр_19_7&gt;0),1,0)</f>
        <v>1</v>
      </c>
      <c r="J25" s="19"/>
      <c r="K25" s="22"/>
      <c r="L25" s="23">
        <v>0.7846</v>
      </c>
      <c r="M25" s="23">
        <v>0.66</v>
      </c>
      <c r="N25" s="23">
        <v>1</v>
      </c>
      <c r="O25" s="21">
        <f aca="true" t="shared" si="3" ref="O25:O30">IF(G25&gt;=100,1,0)</f>
        <v>0</v>
      </c>
      <c r="P25" s="11">
        <f>IF(E25&gt;L25,0.5,0)</f>
        <v>0</v>
      </c>
      <c r="Q25" s="12">
        <f t="shared" si="0"/>
        <v>0</v>
      </c>
    </row>
    <row r="26" spans="1:17" ht="67.5">
      <c r="A26" s="17" t="s">
        <v>37</v>
      </c>
      <c r="B26" s="4">
        <v>1</v>
      </c>
      <c r="C26" s="2">
        <v>0.65</v>
      </c>
      <c r="D26" s="4" t="s">
        <v>50</v>
      </c>
      <c r="E26" s="2">
        <v>1</v>
      </c>
      <c r="F26" s="4" t="s">
        <v>50</v>
      </c>
      <c r="G26" s="2">
        <f t="shared" si="2"/>
        <v>153.84615384615384</v>
      </c>
      <c r="H26" s="10">
        <f t="shared" si="1"/>
        <v>1</v>
      </c>
      <c r="I26" s="4">
        <f>IF(OR(V_пр_20_3&gt;0,V_пр_20_5&gt;0,V_пр_20_7&gt;0),1,0)</f>
        <v>1</v>
      </c>
      <c r="J26" s="4"/>
      <c r="L26" s="14">
        <v>0.8</v>
      </c>
      <c r="M26" s="14">
        <v>0.4286</v>
      </c>
      <c r="N26" s="14">
        <v>1</v>
      </c>
      <c r="O26" s="27">
        <f t="shared" si="3"/>
        <v>1</v>
      </c>
      <c r="P26" s="11">
        <f>IF(E26&gt;L26,0.5,0)</f>
        <v>0.5</v>
      </c>
      <c r="Q26" s="12">
        <f t="shared" si="0"/>
        <v>1</v>
      </c>
    </row>
    <row r="27" spans="1:17" ht="67.5">
      <c r="A27" s="17" t="s">
        <v>38</v>
      </c>
      <c r="B27" s="4">
        <v>1</v>
      </c>
      <c r="C27" s="2">
        <v>0.7</v>
      </c>
      <c r="D27" s="4" t="s">
        <v>50</v>
      </c>
      <c r="E27" s="2">
        <v>1</v>
      </c>
      <c r="F27" s="4" t="s">
        <v>50</v>
      </c>
      <c r="G27" s="2">
        <f t="shared" si="2"/>
        <v>142.85714285714286</v>
      </c>
      <c r="H27" s="10">
        <f t="shared" si="1"/>
        <v>1</v>
      </c>
      <c r="I27" s="4">
        <f>IF(OR(V_пр_21_3&gt;0,V_пр_21_5&gt;0,V_пр_21_7&gt;0),1,0)</f>
        <v>1</v>
      </c>
      <c r="J27" s="4"/>
      <c r="L27" s="14">
        <v>0.787</v>
      </c>
      <c r="M27" s="14">
        <v>0</v>
      </c>
      <c r="N27" s="14">
        <v>1</v>
      </c>
      <c r="O27" s="27">
        <f t="shared" si="3"/>
        <v>1</v>
      </c>
      <c r="P27" s="11">
        <f>IF(E27&gt;L27,0.5,0)</f>
        <v>0.5</v>
      </c>
      <c r="Q27" s="12">
        <f t="shared" si="0"/>
        <v>1</v>
      </c>
    </row>
    <row r="28" spans="1:17" ht="56.25">
      <c r="A28" s="17" t="s">
        <v>39</v>
      </c>
      <c r="B28" s="4">
        <v>1</v>
      </c>
      <c r="C28" s="2">
        <v>0.7</v>
      </c>
      <c r="D28" s="4" t="s">
        <v>50</v>
      </c>
      <c r="E28" s="2">
        <v>1</v>
      </c>
      <c r="F28" s="4" t="s">
        <v>50</v>
      </c>
      <c r="G28" s="2">
        <f t="shared" si="2"/>
        <v>142.85714285714286</v>
      </c>
      <c r="H28" s="10">
        <f t="shared" si="1"/>
        <v>1</v>
      </c>
      <c r="I28" s="4">
        <f>IF(OR(V_пр_22_3&gt;0,V_пр_22_5&gt;0,V_пр_22_7&gt;0),1,0)</f>
        <v>1</v>
      </c>
      <c r="J28" s="4"/>
      <c r="L28" s="14">
        <v>0.78</v>
      </c>
      <c r="M28" s="14">
        <v>0.1176</v>
      </c>
      <c r="N28" s="14">
        <v>1</v>
      </c>
      <c r="O28" s="27">
        <f t="shared" si="3"/>
        <v>1</v>
      </c>
      <c r="P28" s="11">
        <f>IF(E28&gt;L28,0.5,0)</f>
        <v>0.5</v>
      </c>
      <c r="Q28" s="12">
        <f t="shared" si="0"/>
        <v>1</v>
      </c>
    </row>
    <row r="29" spans="1:17" ht="56.25">
      <c r="A29" s="17" t="s">
        <v>40</v>
      </c>
      <c r="B29" s="4">
        <v>1</v>
      </c>
      <c r="C29" s="2">
        <v>0.8</v>
      </c>
      <c r="D29" s="4" t="s">
        <v>50</v>
      </c>
      <c r="E29" s="2">
        <v>1</v>
      </c>
      <c r="F29" s="4" t="s">
        <v>50</v>
      </c>
      <c r="G29" s="2">
        <f t="shared" si="2"/>
        <v>125</v>
      </c>
      <c r="H29" s="10">
        <f t="shared" si="1"/>
        <v>1</v>
      </c>
      <c r="I29" s="4">
        <f>IF(OR(V_пр_23_3&gt;0,V_пр_23_5&gt;0,V_пр_23_7&gt;0),1,0)</f>
        <v>1</v>
      </c>
      <c r="J29" s="4"/>
      <c r="L29" s="14">
        <v>0.883</v>
      </c>
      <c r="M29" s="14">
        <v>0</v>
      </c>
      <c r="N29" s="14">
        <v>1</v>
      </c>
      <c r="O29" s="27">
        <f t="shared" si="3"/>
        <v>1</v>
      </c>
      <c r="P29" s="11">
        <f>IF(E29&gt;L29,1,0)</f>
        <v>1</v>
      </c>
      <c r="Q29" s="12">
        <f t="shared" si="0"/>
        <v>1</v>
      </c>
    </row>
    <row r="30" spans="1:17" ht="90">
      <c r="A30" s="17" t="s">
        <v>41</v>
      </c>
      <c r="B30" s="4">
        <v>1</v>
      </c>
      <c r="C30" s="2">
        <v>0.75</v>
      </c>
      <c r="D30" s="4" t="s">
        <v>50</v>
      </c>
      <c r="E30" s="2">
        <v>1</v>
      </c>
      <c r="F30" s="4" t="s">
        <v>50</v>
      </c>
      <c r="G30" s="2">
        <f t="shared" si="2"/>
        <v>133.33333333333331</v>
      </c>
      <c r="H30" s="10">
        <f t="shared" si="1"/>
        <v>1</v>
      </c>
      <c r="I30" s="4">
        <f>IF(OR(V_пр_24_3&gt;0,V_пр_24_5&gt;0,V_пр_24_7&gt;0),1,0)</f>
        <v>1</v>
      </c>
      <c r="J30" s="4"/>
      <c r="L30" s="14">
        <v>0.883</v>
      </c>
      <c r="M30" s="14">
        <v>0.6714</v>
      </c>
      <c r="N30" s="14">
        <v>1</v>
      </c>
      <c r="O30" s="27">
        <f t="shared" si="3"/>
        <v>1</v>
      </c>
      <c r="P30" s="11">
        <f>IF(E30&gt;L30,0.5,0)</f>
        <v>0.5</v>
      </c>
      <c r="Q30" s="12">
        <f t="shared" si="0"/>
        <v>1</v>
      </c>
    </row>
    <row r="31" spans="1:17" ht="15">
      <c r="A31" s="17" t="s">
        <v>42</v>
      </c>
      <c r="B31" s="4">
        <v>0</v>
      </c>
      <c r="C31" s="4" t="s">
        <v>50</v>
      </c>
      <c r="D31" s="2">
        <v>0.4315666666666667</v>
      </c>
      <c r="E31" s="2">
        <v>1.3262</v>
      </c>
      <c r="F31" s="2">
        <f>IF(AND(D31=0,E31&gt;0),100,(IF(D31=0,0,E31/D31*100-100)))</f>
        <v>207.29898818259056</v>
      </c>
      <c r="G31" s="4" t="s">
        <v>50</v>
      </c>
      <c r="H31" s="10">
        <f t="shared" si="1"/>
        <v>0</v>
      </c>
      <c r="I31" s="4">
        <f>IF(OR(V_пр_25_4&gt;0,V_пр_25_5&gt;0,V_пр_25_6&gt;0),1,0)</f>
        <v>1</v>
      </c>
      <c r="J31" s="4"/>
      <c r="L31" s="14">
        <v>0.628</v>
      </c>
      <c r="M31" s="14">
        <v>0</v>
      </c>
      <c r="N31" s="14">
        <v>2.02</v>
      </c>
      <c r="O31" s="10">
        <f>IF(F31&gt;0,0,(IF(F31&gt;-2,0.5,(IF(AND(F31&lt;=-2,F31&gt;-5),1,IF(AND(F31&lt;=-5,F31&gt;-10),2,3))))))</f>
        <v>0</v>
      </c>
      <c r="P31" s="11">
        <f>IF(E31=M31,3,(IF(E31&lt;L31,0.5,0)))</f>
        <v>0</v>
      </c>
      <c r="Q31" s="12">
        <f t="shared" si="0"/>
        <v>0</v>
      </c>
    </row>
    <row r="32" spans="1:17" ht="15">
      <c r="A32" s="17"/>
      <c r="B32" s="29" t="s">
        <v>53</v>
      </c>
      <c r="C32" s="29"/>
      <c r="D32" s="29"/>
      <c r="E32" s="29"/>
      <c r="F32" s="29"/>
      <c r="G32" s="29"/>
      <c r="H32" s="10">
        <f>SUM(H33:H37)</f>
        <v>2.5</v>
      </c>
      <c r="I32" s="4">
        <f>IF(V_пр_26_8&gt;0,1,0)</f>
        <v>1</v>
      </c>
      <c r="J32" s="4"/>
      <c r="L32" s="14"/>
      <c r="M32" s="14"/>
      <c r="N32" s="14"/>
      <c r="O32" s="10">
        <f>SUM(O33:O37)</f>
        <v>2</v>
      </c>
      <c r="P32" s="11">
        <f>SUM(P33:P37)</f>
        <v>3</v>
      </c>
      <c r="Q32" s="12">
        <f t="shared" si="0"/>
        <v>0</v>
      </c>
    </row>
    <row r="33" spans="1:17" ht="33.75">
      <c r="A33" s="17" t="s">
        <v>43</v>
      </c>
      <c r="B33" s="2">
        <v>0.216</v>
      </c>
      <c r="C33" s="4">
        <v>0</v>
      </c>
      <c r="D33" s="4" t="s">
        <v>50</v>
      </c>
      <c r="E33" s="2">
        <v>0.25</v>
      </c>
      <c r="F33" s="2">
        <f>IF(AND(B33=0,E33&gt;0),100,(IF(B33=0,0,E33/B33*100-100)))</f>
        <v>15.740740740740748</v>
      </c>
      <c r="G33" s="4" t="s">
        <v>50</v>
      </c>
      <c r="H33" s="10">
        <f t="shared" si="1"/>
        <v>1</v>
      </c>
      <c r="I33" s="4">
        <f>IF(OR(V_пр_27_2&gt;0,V_пр_27_5&gt;0,V_пр_27_6&gt;0),1,0)</f>
        <v>1</v>
      </c>
      <c r="J33" s="4"/>
      <c r="L33" s="14">
        <v>0.205</v>
      </c>
      <c r="M33" s="14">
        <v>0.15</v>
      </c>
      <c r="N33" s="14">
        <v>0.25</v>
      </c>
      <c r="O33" s="10">
        <f>IF(F33&lt;5,0,(IF(F33&gt;=10,1,0.5)))</f>
        <v>1</v>
      </c>
      <c r="P33" s="11">
        <f>IF(E33=N33,1,(IF(E33&gt;L33,0.5,0)))</f>
        <v>1</v>
      </c>
      <c r="Q33" s="12">
        <f t="shared" si="0"/>
        <v>1</v>
      </c>
    </row>
    <row r="34" spans="1:17" ht="45">
      <c r="A34" s="17" t="s">
        <v>44</v>
      </c>
      <c r="B34" s="4">
        <v>0.282</v>
      </c>
      <c r="C34" s="2">
        <v>0.95</v>
      </c>
      <c r="D34" s="4" t="s">
        <v>50</v>
      </c>
      <c r="E34" s="2">
        <v>0.806</v>
      </c>
      <c r="F34" s="4" t="s">
        <v>50</v>
      </c>
      <c r="G34" s="2">
        <f>IF(C34=0,0,E34/C34*100)</f>
        <v>84.8421052631579</v>
      </c>
      <c r="H34" s="10">
        <f t="shared" si="1"/>
        <v>0.5</v>
      </c>
      <c r="I34" s="4">
        <f>IF(OR(V_пр_28_3&gt;0,V_пр_28_5&gt;0,V_пр_28_7&gt;0),1,0)</f>
        <v>1</v>
      </c>
      <c r="J34" s="4"/>
      <c r="L34" s="14">
        <v>0.496</v>
      </c>
      <c r="M34" s="14">
        <v>0.173</v>
      </c>
      <c r="N34" s="14">
        <v>0.74</v>
      </c>
      <c r="O34" s="10">
        <f>IF(G34&gt;=100,1,0)</f>
        <v>0</v>
      </c>
      <c r="P34" s="11">
        <f>IF(E34&gt;L34,0.5,0)</f>
        <v>0.5</v>
      </c>
      <c r="Q34" s="12">
        <f t="shared" si="0"/>
        <v>0.5</v>
      </c>
    </row>
    <row r="35" spans="1:17" ht="67.5">
      <c r="A35" s="17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0">
        <f t="shared" si="1"/>
        <v>0</v>
      </c>
      <c r="I35" s="4">
        <v>2</v>
      </c>
      <c r="J35" s="4"/>
      <c r="L35" s="14">
        <v>0</v>
      </c>
      <c r="M35" s="14">
        <v>0</v>
      </c>
      <c r="N35" s="14">
        <v>0</v>
      </c>
      <c r="O35" s="10">
        <f>IF(F35&lt;5,0,(IF(F35&gt;=10,1,0.5)))</f>
        <v>0</v>
      </c>
      <c r="P35" s="11">
        <f>IF(E35=N35,1,(IF(E35&gt;L35,0.5,0)))</f>
        <v>1</v>
      </c>
      <c r="Q35" s="12">
        <f t="shared" si="0"/>
        <v>0</v>
      </c>
    </row>
    <row r="36" spans="1:17" ht="67.5">
      <c r="A36" s="17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0">
        <f t="shared" si="1"/>
        <v>0</v>
      </c>
      <c r="I36" s="4">
        <f>IF(OR(V_пр_30_2&gt;0,V_пр_30_5&gt;0,V_пр_30_6&gt;0),1,0)</f>
        <v>0</v>
      </c>
      <c r="J36" s="4"/>
      <c r="L36" s="14">
        <v>0.004</v>
      </c>
      <c r="M36" s="14">
        <v>0</v>
      </c>
      <c r="N36" s="14">
        <v>0.0029412</v>
      </c>
      <c r="O36" s="10">
        <f>IF(F36&lt;5,0,(IF(F36&gt;=10,1,0.5)))</f>
        <v>0</v>
      </c>
      <c r="P36" s="11">
        <f>IF(E36=N36,1,(IF(E36&gt;L36,0.5,0)))</f>
        <v>0</v>
      </c>
      <c r="Q36" s="12">
        <f t="shared" si="0"/>
        <v>0</v>
      </c>
    </row>
    <row r="37" spans="1:17" ht="45">
      <c r="A37" s="17" t="s">
        <v>47</v>
      </c>
      <c r="B37" s="4">
        <v>0.93</v>
      </c>
      <c r="C37" s="2">
        <v>0.95</v>
      </c>
      <c r="D37" s="4" t="s">
        <v>50</v>
      </c>
      <c r="E37" s="2">
        <v>1</v>
      </c>
      <c r="F37" s="4" t="s">
        <v>50</v>
      </c>
      <c r="G37" s="2">
        <f>IF(C37=0,0,E37/C37*100)</f>
        <v>105.26315789473684</v>
      </c>
      <c r="H37" s="10">
        <f t="shared" si="1"/>
        <v>1</v>
      </c>
      <c r="I37" s="4">
        <f>IF(OR(V_пр_31_3&gt;0,V_пр_31_5&gt;0,V_пр_31_7&gt;0),1,0)</f>
        <v>1</v>
      </c>
      <c r="J37" s="4"/>
      <c r="L37" s="14">
        <v>0.779</v>
      </c>
      <c r="M37" s="14">
        <v>0.6</v>
      </c>
      <c r="N37" s="14">
        <v>0.93</v>
      </c>
      <c r="O37" s="10">
        <f>IF(G37&gt;=100,1,0)</f>
        <v>1</v>
      </c>
      <c r="P37" s="11">
        <f>IF(E37&gt;L37,0.5,0)</f>
        <v>0.5</v>
      </c>
      <c r="Q37" s="12">
        <f t="shared" si="0"/>
        <v>1</v>
      </c>
    </row>
    <row r="38" spans="1:16" ht="15">
      <c r="A38" s="17" t="s">
        <v>48</v>
      </c>
      <c r="B38" s="29" t="s">
        <v>48</v>
      </c>
      <c r="C38" s="29"/>
      <c r="D38" s="29"/>
      <c r="E38" s="29"/>
      <c r="F38" s="29"/>
      <c r="G38" s="29"/>
      <c r="H38" s="9">
        <v>0</v>
      </c>
      <c r="I38" s="4">
        <f>IF(H38&gt;0,1,0)</f>
        <v>0</v>
      </c>
      <c r="J38" s="4"/>
      <c r="L38" s="14"/>
      <c r="M38" s="14"/>
      <c r="N38" s="14"/>
      <c r="O38" s="9">
        <v>0</v>
      </c>
      <c r="P38" s="26">
        <v>1</v>
      </c>
    </row>
    <row r="39" spans="1:16" ht="22.5">
      <c r="A39" s="17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4">
        <f>IF(OR(V_пр_33_2&gt;0,V_пр_33_3&gt;0,V_пр_33_4&gt;0,V_пр_33_5&gt;0,V_пр_33_6&gt;0,V_пр_33_7&gt;0),1,0)</f>
        <v>0</v>
      </c>
      <c r="J39" s="4"/>
      <c r="L39" s="14"/>
      <c r="M39" s="14"/>
      <c r="N39" s="14"/>
      <c r="O39" s="9">
        <v>0</v>
      </c>
      <c r="P39" s="26">
        <v>1</v>
      </c>
    </row>
    <row r="40" spans="1:16" ht="15">
      <c r="A40" s="17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9">
        <v>0</v>
      </c>
      <c r="I40" s="4">
        <f>IF(OR(V_пр_34_2&gt;0,V_пр_34_3&gt;0,V_пр_34_4&gt;0,V_пр_34_5&gt;0,V_пр_34_6&gt;0,V_пр_34_7&gt;0),1,0)</f>
        <v>0</v>
      </c>
      <c r="J40" s="4"/>
      <c r="L40" s="14"/>
      <c r="M40" s="14"/>
      <c r="N40" s="14"/>
      <c r="O40" s="9">
        <v>0</v>
      </c>
      <c r="P40" s="26">
        <v>1</v>
      </c>
    </row>
    <row r="41" spans="1:16" ht="15">
      <c r="A41" s="17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9">
        <v>0</v>
      </c>
      <c r="I41" s="4">
        <f>IF(OR(V_пр_35_2&gt;0,V_пр_35_3&gt;0,V_пр_35_4&gt;0,V_пр_35_5&gt;0,V_пр_35_6&gt;0,V_пр_35_7&gt;0),1,0)</f>
        <v>0</v>
      </c>
      <c r="J41" s="4"/>
      <c r="L41" s="14"/>
      <c r="M41" s="14"/>
      <c r="N41" s="14"/>
      <c r="O41" s="9">
        <v>0</v>
      </c>
      <c r="P41" s="26">
        <v>1</v>
      </c>
    </row>
    <row r="42" spans="1:16" ht="15">
      <c r="A42" s="17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9">
        <v>0</v>
      </c>
      <c r="I42" s="4">
        <f>IF(OR(V_пр_36_2&gt;0,V_пр_36_3&gt;0,V_пр_36_4&gt;0,V_пр_36_5&gt;0,V_пр_36_6&gt;0,V_пр_36_7&gt;0),1,0)</f>
        <v>0</v>
      </c>
      <c r="J42" s="4"/>
      <c r="L42" s="14"/>
      <c r="M42" s="14"/>
      <c r="N42" s="14"/>
      <c r="O42" s="9">
        <v>0</v>
      </c>
      <c r="P42" s="26">
        <v>1</v>
      </c>
    </row>
    <row r="43" spans="1:16" ht="15">
      <c r="A43" s="17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9">
        <v>0</v>
      </c>
      <c r="I43" s="4">
        <f>IF(OR(V_пр_37_2&gt;0,V_пр_37_3&gt;0,V_пр_37_4&gt;0,V_пр_37_5&gt;0,V_пр_37_6&gt;0,V_пр_37_7&gt;0),1,0)</f>
        <v>0</v>
      </c>
      <c r="J43" s="4"/>
      <c r="L43" s="14"/>
      <c r="M43" s="14"/>
      <c r="N43" s="14"/>
      <c r="O43" s="9">
        <v>0</v>
      </c>
      <c r="P43" s="26">
        <v>1</v>
      </c>
    </row>
    <row r="44" spans="1:16" ht="15">
      <c r="A44" s="17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9">
        <v>0</v>
      </c>
      <c r="I44" s="4">
        <f>IF(OR(V_пр_38_2&gt;0,V_пр_38_3&gt;0,V_пр_38_4&gt;0,V_пр_38_5&gt;0,V_пр_38_6&gt;0,V_пр_38_7&gt;0),1,0)</f>
        <v>0</v>
      </c>
      <c r="J44" s="4"/>
      <c r="L44" s="14"/>
      <c r="M44" s="14"/>
      <c r="N44" s="14"/>
      <c r="O44" s="9">
        <v>0</v>
      </c>
      <c r="P44" s="26">
        <v>1</v>
      </c>
    </row>
    <row r="45" spans="1:16" ht="15">
      <c r="A45" s="17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9">
        <v>0</v>
      </c>
      <c r="I45" s="4">
        <f>IF(OR(V_пр_39_2&gt;0,V_пр_39_3&gt;0,V_пр_39_4&gt;0,V_пр_39_5&gt;0,V_пр_39_6&gt;0,V_пр_39_7&gt;0),1,0)</f>
        <v>0</v>
      </c>
      <c r="J45" s="4"/>
      <c r="L45" s="14"/>
      <c r="M45" s="14"/>
      <c r="N45" s="14"/>
      <c r="O45" s="9">
        <v>0</v>
      </c>
      <c r="P45" s="26">
        <v>1</v>
      </c>
    </row>
    <row r="46" spans="1:16" ht="15">
      <c r="A46" s="4"/>
      <c r="B46" s="29" t="s">
        <v>54</v>
      </c>
      <c r="C46" s="29"/>
      <c r="D46" s="29"/>
      <c r="E46" s="29"/>
      <c r="F46" s="29"/>
      <c r="G46" s="29"/>
      <c r="H46" s="9">
        <f>V_пр_32_8+V_пр_26_8+V_пр_18_8+V_пр_1_8</f>
        <v>17</v>
      </c>
      <c r="I46" s="4">
        <f>IF(H46&gt;0,1,0)</f>
        <v>1</v>
      </c>
      <c r="J46" s="4"/>
      <c r="L46" s="14"/>
      <c r="M46" s="14"/>
      <c r="N46" s="14"/>
      <c r="O46" s="9">
        <f>V_пр_32_8+V_пр_26_8+V_пр_18_8+V_пр_1_8</f>
        <v>17</v>
      </c>
      <c r="P46" s="26">
        <f>V_пр_32_8+V_пр_26_8+V_пр_18_8+V_пр_1_8</f>
        <v>17</v>
      </c>
    </row>
    <row r="47" spans="1:10" ht="15">
      <c r="A47" s="1"/>
      <c r="B47" s="6"/>
      <c r="C47" s="6"/>
      <c r="D47" s="6"/>
      <c r="E47" s="6"/>
      <c r="F47" s="6"/>
      <c r="G47" s="6"/>
      <c r="H47" s="6"/>
      <c r="I47" s="6"/>
      <c r="J47" s="7"/>
    </row>
    <row r="49" spans="1:11" ht="15">
      <c r="A49" s="32" t="s">
        <v>56</v>
      </c>
      <c r="B49" s="32" t="s">
        <v>56</v>
      </c>
      <c r="C49" s="32" t="s">
        <v>56</v>
      </c>
      <c r="D49" s="32" t="s">
        <v>56</v>
      </c>
      <c r="E49" s="32" t="s">
        <v>56</v>
      </c>
      <c r="F49" s="32" t="s">
        <v>56</v>
      </c>
      <c r="G49" s="32" t="s">
        <v>56</v>
      </c>
      <c r="H49" s="32" t="s">
        <v>56</v>
      </c>
      <c r="I49" s="32" t="s">
        <v>56</v>
      </c>
      <c r="J49" s="32" t="s">
        <v>56</v>
      </c>
      <c r="K49" s="32" t="s">
        <v>56</v>
      </c>
    </row>
    <row r="50" spans="1:11" ht="15">
      <c r="A50" s="32" t="s">
        <v>57</v>
      </c>
      <c r="B50" s="32" t="s">
        <v>57</v>
      </c>
      <c r="C50" s="32" t="s">
        <v>57</v>
      </c>
      <c r="D50" s="32" t="s">
        <v>57</v>
      </c>
      <c r="E50" s="32" t="s">
        <v>57</v>
      </c>
      <c r="F50" s="32" t="s">
        <v>57</v>
      </c>
      <c r="G50" s="32" t="s">
        <v>57</v>
      </c>
      <c r="H50" s="32" t="s">
        <v>57</v>
      </c>
      <c r="I50" s="32" t="s">
        <v>57</v>
      </c>
      <c r="J50" s="32" t="s">
        <v>57</v>
      </c>
      <c r="K50" s="32" t="s">
        <v>57</v>
      </c>
    </row>
  </sheetData>
  <sheetProtection/>
  <autoFilter ref="A5:Q46"/>
  <mergeCells count="10">
    <mergeCell ref="B38:G38"/>
    <mergeCell ref="B46:G46"/>
    <mergeCell ref="A49:K49"/>
    <mergeCell ref="A50:K50"/>
    <mergeCell ref="A2:K2"/>
    <mergeCell ref="A3:K3"/>
    <mergeCell ref="B7:G7"/>
    <mergeCell ref="B24:G24"/>
    <mergeCell ref="B32:G32"/>
    <mergeCell ref="L3:P3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cp:lastPrinted>2022-12-27T10:31:57Z</cp:lastPrinted>
  <dcterms:created xsi:type="dcterms:W3CDTF">2022-06-27T03:43:26Z</dcterms:created>
  <dcterms:modified xsi:type="dcterms:W3CDTF">2022-12-27T10:32:10Z</dcterms:modified>
  <cp:category/>
  <cp:version/>
  <cp:contentType/>
  <cp:contentStatus/>
</cp:coreProperties>
</file>